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ivaP\Desktop\"/>
    </mc:Choice>
  </mc:AlternateContent>
  <bookViews>
    <workbookView xWindow="0" yWindow="0" windowWidth="19200" windowHeight="11295" tabRatio="767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52511"/>
</workbook>
</file>

<file path=xl/calcChain.xml><?xml version="1.0" encoding="utf-8"?>
<calcChain xmlns="http://schemas.openxmlformats.org/spreadsheetml/2006/main">
  <c r="I83" i="20" l="1"/>
  <c r="G83" i="20"/>
  <c r="I37" i="20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R66" i="21" l="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M54" i="21" s="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P66" i="21" s="1"/>
  <c r="Q64" i="21"/>
  <c r="Q66" i="21" s="1"/>
  <c r="R64" i="2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C30" i="18"/>
  <c r="C33" i="18" s="1"/>
  <c r="E20" i="18"/>
  <c r="C38" i="18" l="1"/>
  <c r="C40" i="18" s="1"/>
  <c r="E38" i="18"/>
  <c r="E40" i="18" s="1"/>
  <c r="D7" i="20"/>
  <c r="D5" i="20"/>
  <c r="D6" i="20"/>
  <c r="E84" i="18"/>
  <c r="C60" i="18"/>
  <c r="C86" i="18" s="1"/>
  <c r="E60" i="18"/>
  <c r="R1" i="2"/>
  <c r="C9" i="2" s="1"/>
  <c r="E86" i="18" l="1"/>
  <c r="C87" i="2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>
  <authors>
    <author>Sandra</author>
    <author>Simonas Lekys</author>
    <author>user</author>
    <author>k.lizdenis</author>
    <author>Simonas</author>
    <author>Lina Valatkaitė</author>
  </authors>
  <commentList>
    <comment ref="C12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Simonas Lekys</author>
  </authors>
  <commentList>
    <comment ref="G12" authorId="0" shapeId="0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>
  <authors>
    <author>Simonas Lekys</author>
  </authors>
  <commentLis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>
  <authors>
    <author>Sandra</author>
    <author>user</author>
    <author>k.lizdenis</author>
    <author>Simonas</author>
  </authors>
  <commentList>
    <comment ref="C10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<sst xmlns="http://schemas.openxmlformats.org/spreadsheetml/2006/main" count="1621" uniqueCount="597">
  <si>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</si>
  <si>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</si>
  <si>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</si>
  <si>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</si>
  <si>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</si>
  <si>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</si>
  <si>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</si>
  <si>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</si>
  <si>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</si>
  <si>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</si>
  <si>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</si>
  <si>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</si>
  <si>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</si>
  <si>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</si>
  <si>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</si>
  <si>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</si>
  <si>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</si>
  <si>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</si>
  <si>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</si>
  <si>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</si>
  <si>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</si>
  <si>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</si>
  <si>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</si>
  <si>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</si>
  <si>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</si>
  <si>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</si>
  <si>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</si>
  <si>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</si>
  <si>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</si>
  <si>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</si>
  <si>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</si>
  <si>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</si>
  <si>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</si>
  <si>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</si>
  <si>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</si>
  <si>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</si>
  <si>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</si>
  <si>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</si>
  <si>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</si>
  <si>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</si>
  <si>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</si>
  <si>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</si>
  <si>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</si>
  <si>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</si>
  <si>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</si>
  <si>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</si>
  <si>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</si>
  <si>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</si>
  <si>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</si>
  <si>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</si>
  <si>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</si>
  <si>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</si>
  <si>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</si>
  <si>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</si>
  <si>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</si>
  <si>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</si>
  <si>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</si>
  <si>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</si>
  <si>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</si>
  <si>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</si>
  <si>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</si>
  <si>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</si>
  <si>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</si>
  <si>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</si>
  <si>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</si>
  <si>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</si>
  <si>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</si>
  <si>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</si>
  <si>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</si>
  <si>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</si>
  <si>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</si>
  <si>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</si>
  <si>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</si>
  <si>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</si>
  <si>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</si>
  <si>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</si>
  <si>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</si>
  <si>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</si>
  <si>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</si>
  <si>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</si>
  <si>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</si>
  <si>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</si>
  <si>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</si>
  <si>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</si>
  <si>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</si>
  <si>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</si>
  <si>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</si>
  <si>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</si>
  <si>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</si>
  <si>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</si>
  <si>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</si>
  <si>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</si>
  <si>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</si>
  <si>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</si>
  <si>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</si>
  <si>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</si>
  <si>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</si>
  <si>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</si>
  <si>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</si>
  <si>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</si>
  <si>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</si>
  <si>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</si>
  <si>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</si>
  <si>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</si>
  <si>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</si>
  <si>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</si>
  <si>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</si>
  <si>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</si>
  <si>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</si>
  <si>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</si>
  <si>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</si>
  <si>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</si>
  <si>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</si>
  <si>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</si>
  <si>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</si>
  <si>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</si>
  <si>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</si>
  <si>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</si>
  <si>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</si>
  <si>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</si>
  <si>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</si>
  <si>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</si>
  <si>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</si>
  <si>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</si>
  <si>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</si>
  <si>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</si>
  <si>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</si>
  <si>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</si>
  <si>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</si>
  <si>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</si>
  <si>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</si>
  <si>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</si>
  <si>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</si>
  <si>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</si>
  <si>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</si>
  <si>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</si>
  <si>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</si>
  <si>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</si>
  <si>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</si>
  <si>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</si>
  <si>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</si>
  <si>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</si>
  <si>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</si>
  <si>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</si>
  <si>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</si>
  <si>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</si>
  <si>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</si>
  <si>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</si>
  <si>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</si>
  <si>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</si>
  <si>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</si>
  <si>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</si>
  <si>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</si>
  <si>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</si>
  <si>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</si>
  <si>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</si>
  <si>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</si>
  <si>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</si>
  <si>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</si>
  <si>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</si>
  <si>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</si>
  <si>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</si>
  <si>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</si>
  <si>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</si>
  <si>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</si>
  <si>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</si>
  <si>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</si>
  <si>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</si>
  <si>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</si>
  <si>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</si>
  <si>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</si>
  <si>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</si>
  <si>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</si>
  <si>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</si>
  <si>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</si>
  <si>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</si>
  <si>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</si>
  <si>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</si>
  <si>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</si>
  <si>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</si>
  <si>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</si>
  <si>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</si>
  <si>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</si>
  <si>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</si>
  <si>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</si>
  <si>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</si>
  <si>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</si>
  <si>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</si>
  <si>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</si>
  <si>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</si>
  <si>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</si>
  <si>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</si>
  <si>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</si>
  <si>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</si>
  <si>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</si>
  <si>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</si>
  <si>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</si>
  <si>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</si>
  <si>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</si>
  <si>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</si>
  <si>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</si>
  <si>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</si>
  <si>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</si>
  <si>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</si>
  <si>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</si>
  <si>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</si>
  <si>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</si>
  <si>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</si>
  <si>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</si>
  <si>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</si>
  <si>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</si>
  <si>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</si>
  <si>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</si>
  <si>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</si>
  <si>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</si>
  <si>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</si>
  <si>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</si>
  <si>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</si>
  <si>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</si>
  <si>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</si>
  <si>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</si>
  <si>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</si>
  <si>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</si>
  <si>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</si>
  <si>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</si>
  <si>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</si>
  <si>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</si>
  <si>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</si>
  <si>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</si>
  <si>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</si>
  <si>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</si>
  <si>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</si>
  <si>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</si>
  <si>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</si>
  <si>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</si>
  <si>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</si>
  <si>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</si>
  <si>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</si>
  <si>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</si>
  <si>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</si>
  <si>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</si>
  <si>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</si>
  <si>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</si>
  <si>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</si>
  <si>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</si>
  <si>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</si>
  <si>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</si>
  <si>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</si>
  <si>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</si>
  <si>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</si>
  <si>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</si>
  <si>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</si>
  <si>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</si>
  <si>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</si>
  <si>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</si>
  <si>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</si>
  <si>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</si>
  <si>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</si>
  <si>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</si>
  <si>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</si>
  <si>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</si>
  <si>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</si>
  <si>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</si>
  <si>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</si>
  <si>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</si>
  <si>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</si>
  <si>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</si>
  <si>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</si>
  <si>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</si>
  <si>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</si>
  <si>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</si>
  <si>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</si>
  <si>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</si>
  <si>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</si>
  <si>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</si>
  <si>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</si>
  <si>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</si>
  <si>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</si>
  <si>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</si>
  <si>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</si>
  <si>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</si>
  <si>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</si>
  <si>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</si>
  <si>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</si>
  <si>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</si>
  <si>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</si>
  <si>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</si>
  <si>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</si>
  <si>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</si>
  <si>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</si>
  <si>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</si>
  <si>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</si>
  <si>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</si>
  <si>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</si>
  <si>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</si>
  <si>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</si>
  <si>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</si>
  <si>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</si>
  <si>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</si>
  <si>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</si>
  <si>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</si>
  <si>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</si>
  <si>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</si>
  <si>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</si>
  <si>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</si>
  <si>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</si>
  <si>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</si>
  <si>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</si>
  <si>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</si>
  <si>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</si>
  <si>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</si>
  <si>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</si>
  <si>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</si>
  <si>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</si>
  <si>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</si>
  <si>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</si>
  <si>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</si>
  <si>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</si>
  <si>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</si>
  <si>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</si>
  <si>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</si>
  <si>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</si>
  <si>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</si>
  <si>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</si>
  <si>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</si>
  <si>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</si>
  <si>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</si>
  <si>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</si>
  <si>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</si>
  <si>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</si>
  <si>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</si>
  <si>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</si>
  <si>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</si>
  <si>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</si>
  <si>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</si>
  <si>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</si>
  <si>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</si>
  <si>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</si>
  <si>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</si>
  <si>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</si>
  <si>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</si>
  <si>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</si>
  <si>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</si>
  <si>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</si>
  <si>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</si>
  <si>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</si>
  <si>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</si>
  <si>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</si>
  <si>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</si>
  <si>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</si>
  <si>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</si>
  <si>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</si>
  <si>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</si>
  <si>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</si>
  <si>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</si>
  <si>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</si>
  <si>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</si>
  <si>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</si>
  <si>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</si>
  <si>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</si>
  <si>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</si>
  <si>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</si>
  <si>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</si>
  <si>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</si>
  <si>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</si>
  <si>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</si>
  <si>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</si>
  <si>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</si>
  <si>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</si>
  <si>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</si>
  <si>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</si>
  <si>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</si>
  <si>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</si>
  <si>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</si>
  <si>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</si>
  <si>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</si>
  <si>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</si>
  <si>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</si>
  <si>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</si>
  <si>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</si>
  <si>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</si>
  <si>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</si>
  <si>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</si>
  <si>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</si>
  <si>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</si>
  <si>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</si>
  <si>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</si>
  <si>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</si>
  <si>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</si>
  <si>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</si>
  <si>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</si>
  <si>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</si>
  <si>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</si>
  <si>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</si>
  <si>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</si>
  <si>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</si>
  <si>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</si>
  <si>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</si>
  <si>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</si>
  <si>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</si>
  <si>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</si>
  <si>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</si>
  <si>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</si>
  <si>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</si>
  <si>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</si>
  <si>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</si>
  <si>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</si>
  <si>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</si>
  <si>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</si>
  <si>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</si>
  <si>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</si>
  <si>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</si>
  <si>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</si>
  <si>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</si>
  <si>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</si>
  <si>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</si>
  <si>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</si>
  <si>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</si>
  <si>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</si>
  <si>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</si>
  <si>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</si>
  <si>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</si>
  <si>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</si>
  <si>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</si>
  <si>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</si>
  <si>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</si>
  <si>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</si>
  <si>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</si>
  <si>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</si>
  <si>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</si>
  <si>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</si>
  <si>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</si>
  <si>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</si>
  <si>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</si>
  <si>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</si>
  <si>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</si>
  <si>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</si>
  <si>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</si>
  <si>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</si>
  <si>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</si>
  <si>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</si>
  <si>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</si>
  <si>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</si>
  <si>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</si>
  <si>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</si>
  <si>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</si>
  <si>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</si>
  <si>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</si>
  <si>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</si>
  <si>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</si>
  <si>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</si>
  <si>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</si>
  <si>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</si>
  <si>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</si>
  <si>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</si>
  <si>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</si>
  <si>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</si>
  <si>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</si>
  <si>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</si>
  <si>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</si>
  <si>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</si>
  <si>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</si>
  <si>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</si>
  <si>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</si>
  <si>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</si>
  <si>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</si>
  <si>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</si>
  <si>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</si>
  <si>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</si>
  <si>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</si>
  <si>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</si>
  <si>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</si>
  <si>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</si>
  <si>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</si>
  <si>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</si>
  <si>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</si>
  <si>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</si>
  <si>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</si>
  <si>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</si>
  <si>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</si>
  <si>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</si>
  <si>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</si>
  <si>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</si>
  <si>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</si>
  <si>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</si>
  <si>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</si>
  <si>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</si>
  <si>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</si>
  <si>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</si>
  <si>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</si>
  <si>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</si>
  <si>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</si>
  <si>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</si>
  <si>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</si>
  <si>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</si>
  <si>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</si>
  <si>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</si>
  <si>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</si>
  <si>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</si>
  <si>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</si>
  <si>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</si>
  <si>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</si>
  <si>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</si>
  <si>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</si>
  <si>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</si>
  <si>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</si>
  <si>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</si>
  <si>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</si>
  <si>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</si>
  <si>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</si>
  <si>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</si>
  <si>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</si>
  <si>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</si>
  <si>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</si>
  <si>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</si>
  <si>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</si>
  <si>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</si>
  <si>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</si>
  <si>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</si>
  <si>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</si>
  <si>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</si>
  <si>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</si>
  <si>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</si>
  <si>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</si>
  <si>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</si>
  <si>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</si>
  <si>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</si>
  <si>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</si>
  <si>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</si>
  <si>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</si>
  <si>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</si>
  <si>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</si>
  <si>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</si>
  <si>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</si>
  <si>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</si>
  <si>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</si>
  <si>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</si>
  <si>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</si>
  <si>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</si>
  <si>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</si>
  <si>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</si>
  <si>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</si>
  <si>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</si>
  <si>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</si>
  <si>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</si>
  <si>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</si>
  <si>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</si>
  <si>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</si>
  <si>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</si>
  <si>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</si>
  <si>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</si>
  <si>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</si>
  <si>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</si>
  <si>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</si>
  <si>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</si>
  <si>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</si>
  <si>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</si>
  <si>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</si>
  <si>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</si>
  <si>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</si>
  <si>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</si>
  <si>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</si>
  <si>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</si>
  <si>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</si>
  <si>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</si>
  <si>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</si>
  <si>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</si>
  <si>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</si>
  <si>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</si>
  <si>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</si>
  <si>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</si>
  <si>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</si>
  <si>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</si>
  <si>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</si>
  <si>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</si>
  <si>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</si>
  <si>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</si>
  <si>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</si>
  <si>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</si>
  <si>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</si>
  <si>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</si>
  <si>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</si>
  <si>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</si>
  <si>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</si>
  <si>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</si>
  <si>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</si>
  <si>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</si>
  <si>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Margarita Charitonova</t>
  </si>
  <si>
    <t>2020 11 07</t>
  </si>
  <si>
    <t>Regina Mickevičienė</t>
  </si>
  <si>
    <t>Šiluminė trasa</t>
  </si>
  <si>
    <t>Duj. vand. Šil. Katilai 2 vnt</t>
  </si>
  <si>
    <t>2019 11 08</t>
  </si>
  <si>
    <t>2023 04 26</t>
  </si>
  <si>
    <t>Regina Mickevičienė, vyr. buhalterė, V. Mačernio g. 19, Plungė</t>
  </si>
  <si>
    <t>Regina Mickevičienė, vyr buhalterė</t>
  </si>
  <si>
    <t>8 698 87026, regina@plungessiluma.lt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</si>
</sst>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8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/>
    <cellStyle name="Normal 2 2" xfId="3"/>
    <cellStyle name="Procentai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AZ239"/>
  <sheetViews>
    <sheetView showGridLines="0" tabSelected="1" zoomScaleNormal="100" zoomScaleSheetLayoutView="85" zoomScalePageLayoutView="60" workbookViewId="0">
      <selection activeCell="C131" sqref="C131:E131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06" t="s">
        <v>585</v>
      </c>
      <c r="E2" s="407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08"/>
      <c r="E3" s="409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08"/>
      <c r="E4" s="409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19" t="s">
        <v>5</v>
      </c>
      <c r="C6" s="420"/>
      <c r="D6" s="420"/>
      <c r="E6" s="421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22" t="s">
        <v>254</v>
      </c>
      <c r="D8" s="422"/>
      <c r="E8" s="423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10" t="str">
        <f>IFERROR(VLOOKUP(C8,$R$1:$T$243,3,FALSE),"")</f>
        <v>Uždaroji akcinė bendrovė (UAB)</v>
      </c>
      <c r="D9" s="410"/>
      <c r="E9" s="411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10">
        <f>IFERROR(VLOOKUP(C8,$R$2:$S$243,2,FALSE),"")</f>
        <v>170535455</v>
      </c>
      <c r="D10" s="410"/>
      <c r="E10" s="411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24" t="str">
        <f>IFERROR(VLOOKUP(C8,$R$2:$U$243,4,FALSE),"")</f>
        <v>Šilumos tinklai</v>
      </c>
      <c r="D11" s="424"/>
      <c r="E11" s="425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12" t="s">
        <v>587</v>
      </c>
      <c r="D12" s="412"/>
      <c r="E12" s="413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26" t="s">
        <v>588</v>
      </c>
      <c r="D13" s="426"/>
      <c r="E13" s="427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6">
        <v>1</v>
      </c>
      <c r="D14" s="426"/>
      <c r="E14" s="427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14" t="s">
        <v>589</v>
      </c>
      <c r="D15" s="414"/>
      <c r="E15" s="415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16" t="s">
        <v>37</v>
      </c>
      <c r="D17" s="417"/>
      <c r="E17" s="418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44" t="s">
        <v>42</v>
      </c>
      <c r="D18" s="444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45" t="s">
        <v>562</v>
      </c>
      <c r="D19" s="446"/>
      <c r="E19" s="152">
        <v>1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45"/>
      <c r="D20" s="446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6"/>
      <c r="D21" s="447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6"/>
      <c r="D22" s="447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6"/>
      <c r="D23" s="447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6"/>
      <c r="D24" s="447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6"/>
      <c r="D25" s="447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45"/>
      <c r="D26" s="446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45"/>
      <c r="D27" s="446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45"/>
      <c r="D28" s="446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48" t="s">
        <v>76</v>
      </c>
      <c r="D29" s="449"/>
      <c r="E29" s="153">
        <f>100%-SUM(E19:E28)</f>
        <v>0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50">
        <v>1</v>
      </c>
      <c r="D31" s="450"/>
      <c r="E31" s="451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52" t="s">
        <v>562</v>
      </c>
      <c r="D32" s="452"/>
      <c r="E32" s="453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56" t="s">
        <v>218</v>
      </c>
      <c r="D34" s="456"/>
      <c r="E34" s="457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58"/>
      <c r="D35" s="458"/>
      <c r="E35" s="459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42" t="s">
        <v>87</v>
      </c>
      <c r="D37" s="442"/>
      <c r="E37" s="443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54" t="s">
        <v>89</v>
      </c>
      <c r="D38" s="454"/>
      <c r="E38" s="455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4" t="s">
        <v>91</v>
      </c>
      <c r="D39" s="434"/>
      <c r="E39" s="435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6" t="s">
        <v>93</v>
      </c>
      <c r="D40" s="436"/>
      <c r="E40" s="437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3263</v>
      </c>
      <c r="D42" s="34"/>
      <c r="E42" s="163">
        <v>4604.6000000000004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3735.6</v>
      </c>
      <c r="D43" s="34"/>
      <c r="E43" s="164">
        <v>4065.3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-472.59999999999991</v>
      </c>
      <c r="D44" s="34"/>
      <c r="E44" s="166">
        <f>+E42-E43</f>
        <v>539.30000000000018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>
        <v>79.400000000000006</v>
      </c>
      <c r="D45" s="48"/>
      <c r="E45" s="405">
        <v>87.9</v>
      </c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305.89999999999998</v>
      </c>
      <c r="D46" s="48"/>
      <c r="E46" s="167">
        <v>360.9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-857.89999999999986</v>
      </c>
      <c r="D47" s="34"/>
      <c r="E47" s="166">
        <f>+E44-E45-E46</f>
        <v>90.500000000000227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115.9</v>
      </c>
      <c r="D49" s="48"/>
      <c r="E49" s="169">
        <v>96.4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-11.799999999999999</v>
      </c>
      <c r="D50" s="34"/>
      <c r="E50" s="170">
        <f>E51-E52</f>
        <v>-49.400000000000006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>
        <v>11.9</v>
      </c>
      <c r="D51" s="48"/>
      <c r="E51" s="172">
        <v>24.8</v>
      </c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>
        <v>23.7</v>
      </c>
      <c r="D52" s="48"/>
      <c r="E52" s="173">
        <v>74.2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-753.79999999999984</v>
      </c>
      <c r="D53" s="34"/>
      <c r="E53" s="166">
        <f>+E47+E48+E49+E50</f>
        <v>137.50000000000023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>
        <v>0.3</v>
      </c>
      <c r="D54" s="49"/>
      <c r="E54" s="174">
        <v>4.8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-754.0999999999998</v>
      </c>
      <c r="D55" s="34"/>
      <c r="E55" s="166">
        <f>E53-E54</f>
        <v>132.70000000000022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42" t="s">
        <v>87</v>
      </c>
      <c r="D57" s="442"/>
      <c r="E57" s="443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1.4</v>
      </c>
      <c r="D59" s="38"/>
      <c r="E59" s="172">
        <v>0.5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4396.2</v>
      </c>
      <c r="D60" s="48"/>
      <c r="E60" s="178">
        <v>5008.3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/>
      <c r="D61" s="48"/>
      <c r="E61" s="178"/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/>
      <c r="D62" s="48"/>
      <c r="E62" s="178"/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4397.5999999999995</v>
      </c>
      <c r="D63" s="34"/>
      <c r="E63" s="180">
        <f>SUM(E59:E62)</f>
        <v>5008.8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104.6</v>
      </c>
      <c r="D65" s="48"/>
      <c r="E65" s="172">
        <v>242.8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768.1</v>
      </c>
      <c r="D66" s="48"/>
      <c r="E66" s="178">
        <v>909.4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>
        <v>613.6</v>
      </c>
      <c r="D67" s="48"/>
      <c r="E67" s="178">
        <v>827.5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/>
      <c r="D68" s="48"/>
      <c r="E68" s="178"/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81.599999999999994</v>
      </c>
      <c r="D69" s="48"/>
      <c r="E69" s="173">
        <v>79.900000000000006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954.30000000000007</v>
      </c>
      <c r="D70" s="34"/>
      <c r="E70" s="46">
        <f>SUM(E65:E66,E68:E69)</f>
        <v>1232.1000000000001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15.3</v>
      </c>
      <c r="D72" s="49"/>
      <c r="E72" s="185">
        <v>3.6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/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5367.2</v>
      </c>
      <c r="D76" s="34"/>
      <c r="E76" s="180">
        <f>SUM(E63,E70,E72,E74)</f>
        <v>6244.5000000000009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1663.7</v>
      </c>
      <c r="D78" s="48"/>
      <c r="E78" s="178">
        <v>1663.7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1663.7</v>
      </c>
      <c r="D79" s="48"/>
      <c r="E79" s="178">
        <v>1663.7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/>
      <c r="D80" s="48"/>
      <c r="E80" s="178"/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/>
      <c r="D81" s="48"/>
      <c r="E81" s="178"/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/>
      <c r="D82" s="48"/>
      <c r="E82" s="178"/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/>
      <c r="D83" s="48"/>
      <c r="E83" s="178"/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>
        <v>170</v>
      </c>
      <c r="D84" s="48"/>
      <c r="E84" s="178">
        <v>166.4</v>
      </c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>
        <v>166</v>
      </c>
      <c r="D85" s="48"/>
      <c r="E85" s="178">
        <v>166.4</v>
      </c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-492.8</v>
      </c>
      <c r="D86" s="48"/>
      <c r="E86" s="178">
        <v>-356.4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1340.9</v>
      </c>
      <c r="D87" s="34"/>
      <c r="E87" s="180">
        <f>SUM(E78,E80:E84,E86:E86)</f>
        <v>1473.7000000000003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>
        <v>699.6</v>
      </c>
      <c r="D89" s="58"/>
      <c r="E89" s="190">
        <v>644.5</v>
      </c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>
        <v>2.6</v>
      </c>
      <c r="D91" s="49"/>
      <c r="E91" s="174">
        <v>2.4</v>
      </c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2308.6999999999998</v>
      </c>
      <c r="D93" s="48"/>
      <c r="E93" s="178">
        <v>2927.2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/>
      <c r="D94" s="48"/>
      <c r="E94" s="178"/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>
        <v>2308.6999999999998</v>
      </c>
      <c r="D95" s="48"/>
      <c r="E95" s="178">
        <v>2927.2</v>
      </c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935.1</v>
      </c>
      <c r="D96" s="48"/>
      <c r="E96" s="178">
        <v>1194.8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627.9</v>
      </c>
      <c r="D97" s="48"/>
      <c r="E97" s="178">
        <v>831.4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>
        <v>185.5</v>
      </c>
      <c r="D98" s="48"/>
      <c r="E98" s="178">
        <v>236.5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/>
      <c r="D99" s="48"/>
      <c r="E99" s="178"/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3243.7999999999997</v>
      </c>
      <c r="D100" s="34"/>
      <c r="E100" s="180">
        <f>SUM(E93,E96)</f>
        <v>4122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>
        <v>80.3</v>
      </c>
      <c r="D102" s="49"/>
      <c r="E102" s="185">
        <v>1.9</v>
      </c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/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5367.2</v>
      </c>
      <c r="D106" s="34"/>
      <c r="E106" s="180">
        <f>SUM(E87,E89,E91,E100,E102,E104)</f>
        <v>6244.5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/>
      <c r="D110" s="49"/>
      <c r="E110" s="195"/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42" t="s">
        <v>87</v>
      </c>
      <c r="D112" s="442"/>
      <c r="E112" s="443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259.5</v>
      </c>
      <c r="D114" s="49"/>
      <c r="E114" s="246">
        <v>244.9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>
        <v>898.3</v>
      </c>
      <c r="D115" s="34"/>
      <c r="E115" s="290">
        <v>911.5</v>
      </c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>
        <v>-489.2</v>
      </c>
      <c r="D116" s="34"/>
      <c r="E116" s="245"/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/>
      <c r="D117" s="48"/>
      <c r="E117" s="178"/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57</v>
      </c>
      <c r="D120" s="134"/>
      <c r="E120" s="201">
        <v>57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9</v>
      </c>
      <c r="D121" s="48"/>
      <c r="E121" s="178">
        <v>9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804.6</v>
      </c>
      <c r="D122" s="34"/>
      <c r="E122" s="190">
        <v>891.8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32"/>
      <c r="D125" s="432"/>
      <c r="E125" s="433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8" t="s">
        <v>593</v>
      </c>
      <c r="D130" s="438"/>
      <c r="E130" s="439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40" t="s">
        <v>594</v>
      </c>
      <c r="D131" s="440"/>
      <c r="E131" s="441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8"/>
      <c r="D132" s="428"/>
      <c r="E132" s="429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30"/>
      <c r="D133" s="430"/>
      <c r="E133" s="431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>
    <sortState ref="R2:V236">
      <sortCondition ref="V1"/>
    </sortState>
  </autoFilter>
  <sortState ref="K1:L123">
    <sortCondition ref="K1"/>
  </sortState>
  <dataConsolidate/>
  <mergeCells count="38">
    <mergeCell ref="C29:D29"/>
    <mergeCell ref="C31:E31"/>
    <mergeCell ref="C32:E32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/>
    <dataValidation allowBlank="1" showErrorMessage="1" prompt="Nurodykite įmonės direktoriaus (generalinio direktoriaus) vardą ir pavardę. VĮ miškų urėdijų prašome nurodyti miškų urėdo vardą ir pavardę. Pareigų nurodyti nereikia." sqref="C12:C14 D12:E12"/>
    <dataValidation allowBlank="1" showErrorMessage="1" sqref="B39:B40"/>
    <dataValidation type="whole" allowBlank="1" showErrorMessage="1" prompt="Nurodykite identifikacinį numerį (juridinio asmens kodą)" sqref="C10:E10">
      <formula1>0</formula1>
      <formula2>9999999999999990000</formula2>
    </dataValidation>
    <dataValidation type="list" allowBlank="1" showInputMessage="1" showErrorMessage="1" sqref="C34:E34">
      <formula1>"Taip, Ne"</formula1>
    </dataValidation>
    <dataValidation type="list" allowBlank="1" showErrorMessage="1" prompt="Nurodykite pilną įmonės pavadinimą, pvz. Akcinė bendrovė „Pavyzdys“ ar Valstybės įmonė „Pavyzdys“" sqref="C8:E8">
      <formula1>$R$2:$R$236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2"/>
      <c r="E2" s="462"/>
      <c r="F2" s="117"/>
      <c r="G2" s="117"/>
    </row>
    <row r="3" spans="1:7" ht="29.25" customHeight="1" x14ac:dyDescent="0.2">
      <c r="A3" s="117"/>
      <c r="B3" s="64"/>
      <c r="C3" s="64"/>
      <c r="D3" s="463" t="s">
        <v>354</v>
      </c>
      <c r="E3" s="463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20" t="s">
        <v>356</v>
      </c>
      <c r="C6" s="420"/>
      <c r="D6" s="420"/>
      <c r="E6" s="420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61" t="str">
        <f>'Finansiniai duomenys'!C8</f>
        <v>UAB „Plungės šilumos tinklai“</v>
      </c>
      <c r="D9" s="461"/>
      <c r="E9" s="461"/>
      <c r="F9" s="117"/>
      <c r="G9" s="117"/>
    </row>
    <row r="10" spans="1:7" x14ac:dyDescent="0.2">
      <c r="A10" s="117"/>
      <c r="B10" s="85" t="s">
        <v>10</v>
      </c>
      <c r="C10" s="410" t="str">
        <f>'Finansiniai duomenys'!C9</f>
        <v>Uždaroji akcinė bendrovė (UAB)</v>
      </c>
      <c r="D10" s="410"/>
      <c r="E10" s="410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10" t="e">
        <f>'Finansiniai duomenys'!#REF!</f>
        <v>#REF!</v>
      </c>
      <c r="D14" s="410"/>
      <c r="E14" s="410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10">
        <f>'Finansiniai duomenys'!C10</f>
        <v>170535455</v>
      </c>
      <c r="D27" s="410"/>
      <c r="E27" s="410"/>
      <c r="F27" s="117"/>
      <c r="G27" s="117"/>
    </row>
    <row r="28" spans="1:9" x14ac:dyDescent="0.2">
      <c r="A28" s="117"/>
      <c r="B28" s="35" t="s">
        <v>17</v>
      </c>
      <c r="C28" s="410" t="e">
        <f>'Finansiniai duomenys'!#REF!</f>
        <v>#REF!</v>
      </c>
      <c r="D28" s="410"/>
      <c r="E28" s="410"/>
      <c r="F28" s="117"/>
      <c r="G28" s="117"/>
    </row>
    <row r="29" spans="1:9" x14ac:dyDescent="0.2">
      <c r="A29" s="117"/>
      <c r="B29" s="35" t="s">
        <v>21</v>
      </c>
      <c r="C29" s="410" t="e">
        <f>'Finansiniai duomenys'!#REF!</f>
        <v>#REF!</v>
      </c>
      <c r="D29" s="410"/>
      <c r="E29" s="410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10" t="e">
        <f>'Finansiniai duomenys'!#REF!</f>
        <v>#REF!</v>
      </c>
      <c r="D30" s="410"/>
      <c r="E30" s="410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10" t="str">
        <f>'Finansiniai duomenys'!C12</f>
        <v>Margarita Charitonova</v>
      </c>
      <c r="D31" s="410"/>
      <c r="E31" s="410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0" t="str">
        <f>'Finansiniai duomenys'!C15</f>
        <v>Regina Mickevičienė</v>
      </c>
      <c r="D32" s="460"/>
      <c r="E32" s="460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16" t="s">
        <v>37</v>
      </c>
      <c r="D34" s="417"/>
      <c r="E34" s="417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44" t="s">
        <v>359</v>
      </c>
      <c r="D35" s="444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4" t="str">
        <f>'Finansiniai duomenys'!C19</f>
        <v>Plungės rajono savivaldybė</v>
      </c>
      <c r="D36" s="465"/>
      <c r="E36" s="118">
        <f>'Finansiniai duomenys'!E19</f>
        <v>1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4">
        <f>'Finansiniai duomenys'!C20</f>
        <v>0</v>
      </c>
      <c r="D37" s="465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4">
        <f>'Finansiniai duomenys'!C26</f>
        <v>0</v>
      </c>
      <c r="D38" s="465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4">
        <f>'Finansiniai duomenys'!C27</f>
        <v>0</v>
      </c>
      <c r="D39" s="465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4">
        <f>'Finansiniai duomenys'!C28</f>
        <v>0</v>
      </c>
      <c r="D40" s="465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48" t="s">
        <v>76</v>
      </c>
      <c r="D41" s="449"/>
      <c r="E41" s="69">
        <f>100%-SUM(E36:E40)</f>
        <v>0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6">
        <f>'Finansiniai duomenys'!C31</f>
        <v>1</v>
      </c>
      <c r="D43" s="466"/>
      <c r="E43" s="466"/>
      <c r="F43" s="117"/>
      <c r="G43" s="117"/>
    </row>
    <row r="44" spans="1:9" ht="24" x14ac:dyDescent="0.2">
      <c r="A44" s="117"/>
      <c r="B44" s="87" t="s">
        <v>360</v>
      </c>
      <c r="C44" s="467" t="str">
        <f>'Finansiniai duomenys'!C32</f>
        <v>Plungės rajono savivaldybė</v>
      </c>
      <c r="D44" s="467"/>
      <c r="E44" s="467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8" t="e">
        <f>'Finansiniai duomenys'!#REF!</f>
        <v>#REF!</v>
      </c>
      <c r="D46" s="468"/>
      <c r="E46" s="468"/>
      <c r="F46" s="117"/>
      <c r="G46" s="117"/>
    </row>
    <row r="47" spans="1:9" ht="41.25" customHeight="1" x14ac:dyDescent="0.2">
      <c r="A47" s="117"/>
      <c r="B47" s="88" t="s">
        <v>84</v>
      </c>
      <c r="C47" s="469" t="e">
        <f>'Finansiniai duomenys'!#REF!</f>
        <v>#REF!</v>
      </c>
      <c r="D47" s="469"/>
      <c r="E47" s="469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2" t="s">
        <v>87</v>
      </c>
      <c r="D49" s="442"/>
      <c r="E49" s="442"/>
      <c r="F49" s="117"/>
      <c r="G49" s="117"/>
      <c r="H49" s="36"/>
    </row>
    <row r="50" spans="1:12" s="36" customFormat="1" ht="12" customHeight="1" x14ac:dyDescent="0.2">
      <c r="A50" s="123"/>
      <c r="B50" s="135"/>
      <c r="C50" s="454"/>
      <c r="D50" s="454"/>
      <c r="E50" s="454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4" t="s">
        <v>91</v>
      </c>
      <c r="D51" s="434"/>
      <c r="E51" s="434"/>
      <c r="F51" s="117"/>
      <c r="G51" s="117"/>
    </row>
    <row r="52" spans="1:12" x14ac:dyDescent="0.2">
      <c r="A52" s="117"/>
      <c r="B52" s="34"/>
      <c r="C52" s="436" t="s">
        <v>93</v>
      </c>
      <c r="D52" s="436"/>
      <c r="E52" s="436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32"/>
      <c r="D139" s="432"/>
      <c r="E139" s="432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8"/>
      <c r="D144" s="438"/>
      <c r="E144" s="438"/>
      <c r="F144" s="117"/>
      <c r="G144" s="117"/>
    </row>
    <row r="145" spans="1:7" x14ac:dyDescent="0.2">
      <c r="A145" s="117"/>
      <c r="B145" s="34" t="s">
        <v>247</v>
      </c>
      <c r="C145" s="440"/>
      <c r="D145" s="440"/>
      <c r="E145" s="440"/>
      <c r="F145" s="117"/>
      <c r="G145" s="117"/>
    </row>
    <row r="146" spans="1:7" ht="24" x14ac:dyDescent="0.2">
      <c r="A146" s="117"/>
      <c r="B146" s="115" t="s">
        <v>249</v>
      </c>
      <c r="C146" s="428"/>
      <c r="D146" s="428"/>
      <c r="E146" s="428"/>
      <c r="F146" s="117"/>
      <c r="G146" s="117"/>
    </row>
    <row r="147" spans="1:7" ht="30" customHeight="1" x14ac:dyDescent="0.2">
      <c r="A147" s="117"/>
      <c r="B147" s="116" t="s">
        <v>376</v>
      </c>
      <c r="C147" s="430"/>
      <c r="D147" s="430"/>
      <c r="E147" s="430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7" tint="0.59999389629810485"/>
  </sheetPr>
  <dimension ref="A1:XFC110"/>
  <sheetViews>
    <sheetView showGridLines="0" topLeftCell="D61" zoomScaleNormal="100" workbookViewId="0">
      <selection activeCell="G100" sqref="G100:I100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6" t="s">
        <v>501</v>
      </c>
      <c r="E2" s="477"/>
      <c r="F2" s="477"/>
      <c r="G2" s="477"/>
      <c r="H2" s="488" t="s">
        <v>378</v>
      </c>
      <c r="I2" s="488"/>
      <c r="J2" s="489"/>
      <c r="K2" s="12"/>
    </row>
    <row r="3" spans="1:13" ht="51" customHeight="1" x14ac:dyDescent="0.25">
      <c r="A3" s="12"/>
      <c r="B3" s="323"/>
      <c r="D3" s="475" t="s">
        <v>584</v>
      </c>
      <c r="E3" s="475"/>
      <c r="F3" s="475"/>
      <c r="H3" s="392" t="s">
        <v>355</v>
      </c>
      <c r="J3" s="324"/>
      <c r="K3" s="12"/>
    </row>
    <row r="4" spans="1:13" s="12" customFormat="1" x14ac:dyDescent="0.25">
      <c r="B4" s="470" t="s">
        <v>8</v>
      </c>
      <c r="C4" s="471"/>
      <c r="D4" s="474" t="str">
        <f>'Finansiniai duomenys'!C8</f>
        <v>UAB „Plungės šilumos tinklai“</v>
      </c>
      <c r="E4" s="474"/>
      <c r="F4" s="474"/>
      <c r="G4" s="474"/>
      <c r="H4" s="472"/>
      <c r="I4" s="472"/>
      <c r="J4" s="473"/>
      <c r="L4"/>
    </row>
    <row r="5" spans="1:13" s="12" customFormat="1" x14ac:dyDescent="0.25">
      <c r="B5" s="470" t="s">
        <v>10</v>
      </c>
      <c r="C5" s="471"/>
      <c r="D5" s="472" t="str">
        <f>IFERROR(VLOOKUP(D4,'Finansiniai duomenys'!R2:T236,3,FALSE),"")</f>
        <v>Uždaroji akcinė bendrovė (UAB)</v>
      </c>
      <c r="E5" s="472"/>
      <c r="F5" s="472"/>
      <c r="G5" s="472"/>
      <c r="H5" s="472"/>
      <c r="I5" s="472"/>
      <c r="J5" s="473"/>
      <c r="L5"/>
    </row>
    <row r="6" spans="1:13" s="12" customFormat="1" x14ac:dyDescent="0.25">
      <c r="B6" s="470" t="s">
        <v>14</v>
      </c>
      <c r="C6" s="471"/>
      <c r="D6" s="472">
        <f>IFERROR(VLOOKUP(D4,'Finansiniai duomenys'!R2:T236,2,FALSE),"")</f>
        <v>170535455</v>
      </c>
      <c r="E6" s="472"/>
      <c r="F6" s="472"/>
      <c r="G6" s="472"/>
      <c r="H6" s="472"/>
      <c r="I6" s="472"/>
      <c r="J6" s="473"/>
      <c r="L6"/>
    </row>
    <row r="7" spans="1:13" x14ac:dyDescent="0.25">
      <c r="A7" s="12"/>
      <c r="B7" s="470" t="s">
        <v>21</v>
      </c>
      <c r="C7" s="471"/>
      <c r="D7" s="472" t="str">
        <f>IFERROR(VLOOKUP(D4,'Finansiniai duomenys'!R2:U236,4,FALSE),"")</f>
        <v>Šilumos tinklai</v>
      </c>
      <c r="E7" s="472"/>
      <c r="F7" s="472"/>
      <c r="G7" s="472"/>
      <c r="H7" s="472"/>
      <c r="I7" s="472"/>
      <c r="J7" s="473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>
        <v>6</v>
      </c>
      <c r="H12" s="396"/>
      <c r="I12" s="397">
        <v>6</v>
      </c>
      <c r="J12" s="398"/>
      <c r="K12" s="12"/>
    </row>
    <row r="13" spans="1:13" ht="15.75" thickTop="1" x14ac:dyDescent="0.25">
      <c r="A13" s="12"/>
      <c r="B13" s="323"/>
      <c r="D13" s="490" t="s">
        <v>582</v>
      </c>
      <c r="F13" s="492" t="s">
        <v>579</v>
      </c>
      <c r="G13" s="492"/>
      <c r="H13" s="5" t="s">
        <v>592</v>
      </c>
      <c r="I13" s="302"/>
      <c r="J13" s="324"/>
      <c r="K13" s="12"/>
    </row>
    <row r="14" spans="1:13" x14ac:dyDescent="0.25">
      <c r="A14" s="12"/>
      <c r="B14" s="323"/>
      <c r="D14" s="491"/>
      <c r="F14" s="492" t="s">
        <v>580</v>
      </c>
      <c r="G14" s="492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898.3</v>
      </c>
      <c r="I17" s="46">
        <f>'Finansiniai duomenys'!E115</f>
        <v>911.5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 t="s">
        <v>590</v>
      </c>
      <c r="G19" s="28">
        <v>765.8</v>
      </c>
      <c r="H19" s="28" t="s">
        <v>590</v>
      </c>
      <c r="I19" s="28">
        <v>687.6</v>
      </c>
      <c r="J19" s="324"/>
      <c r="K19" s="12"/>
    </row>
    <row r="20" spans="1:11" x14ac:dyDescent="0.25">
      <c r="A20" s="12"/>
      <c r="B20" s="323"/>
      <c r="D20" s="323" t="s">
        <v>455</v>
      </c>
      <c r="F20" s="28" t="s">
        <v>591</v>
      </c>
      <c r="G20" s="28">
        <v>88.6</v>
      </c>
      <c r="H20" s="28"/>
      <c r="I20" s="28">
        <v>208.8</v>
      </c>
      <c r="J20" s="324"/>
      <c r="K20" s="12"/>
    </row>
    <row r="21" spans="1:11" x14ac:dyDescent="0.25">
      <c r="A21" s="12"/>
      <c r="B21" s="323"/>
      <c r="D21" s="323" t="s">
        <v>456</v>
      </c>
      <c r="F21" s="28"/>
      <c r="G21" s="28"/>
      <c r="H21" s="28"/>
      <c r="I21" s="28"/>
      <c r="J21" s="324"/>
      <c r="K21" s="12"/>
    </row>
    <row r="22" spans="1:11" x14ac:dyDescent="0.25">
      <c r="A22" s="12"/>
      <c r="B22" s="323"/>
      <c r="D22" s="323" t="s">
        <v>457</v>
      </c>
      <c r="G22" s="28">
        <v>43.9</v>
      </c>
      <c r="I22" s="28">
        <v>15.1</v>
      </c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Gerai</v>
      </c>
      <c r="H24" s="327"/>
      <c r="I24" s="337" t="str">
        <f>IF((I19+I20+I21+I22)=I17,"Gerai","Klaida")</f>
        <v>Gerai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/>
      <c r="I26" s="28"/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/>
      <c r="I27" s="28"/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>
        <v>1169168</v>
      </c>
      <c r="I29" s="28">
        <v>922821</v>
      </c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/>
      <c r="H59" s="355"/>
      <c r="I59" s="312"/>
      <c r="J59" s="356"/>
      <c r="K59" s="12"/>
    </row>
    <row r="60" spans="1:11" x14ac:dyDescent="0.25">
      <c r="A60" s="12"/>
      <c r="B60" s="323"/>
      <c r="D60" s="357" t="s">
        <v>402</v>
      </c>
      <c r="G60" s="28"/>
      <c r="I60" s="75"/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/>
      <c r="H61" s="360"/>
      <c r="I61" s="313"/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/>
      <c r="I63" s="75"/>
      <c r="J63" s="358"/>
      <c r="K63" s="12"/>
    </row>
    <row r="64" spans="1:11" x14ac:dyDescent="0.25">
      <c r="A64" s="12"/>
      <c r="B64" s="323"/>
      <c r="D64" s="357" t="s">
        <v>405</v>
      </c>
      <c r="G64" s="75"/>
      <c r="I64" s="75"/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/>
      <c r="H65" s="360"/>
      <c r="I65" s="313"/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/>
      <c r="H67" s="363"/>
      <c r="I67" s="75"/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/>
      <c r="H68" s="364"/>
      <c r="I68" s="313"/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/>
      <c r="H69" s="314"/>
      <c r="I69" s="312"/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/>
      <c r="H70" s="302"/>
      <c r="I70" s="75"/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/>
      <c r="H71" s="315"/>
      <c r="I71" s="313"/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/>
      <c r="H72" s="302"/>
      <c r="I72" s="5"/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/>
      <c r="H73" s="316"/>
      <c r="I73" s="317"/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/>
      <c r="H74" s="292"/>
      <c r="I74" s="293"/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>
        <v>64229000</v>
      </c>
      <c r="H77" s="355"/>
      <c r="I77" s="309">
        <v>57011000</v>
      </c>
      <c r="J77" s="356"/>
      <c r="K77" s="12"/>
    </row>
    <row r="78" spans="1:11" x14ac:dyDescent="0.25">
      <c r="A78" s="12"/>
      <c r="B78" s="323"/>
      <c r="D78" s="357" t="s">
        <v>476</v>
      </c>
      <c r="G78" s="28">
        <v>54100000</v>
      </c>
      <c r="I78" s="28">
        <v>29048000</v>
      </c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>
        <v>10129000</v>
      </c>
      <c r="H79" s="360"/>
      <c r="I79" s="310">
        <v>27963000</v>
      </c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>
        <v>88154.6</v>
      </c>
      <c r="I80" s="28">
        <v>84857</v>
      </c>
      <c r="J80" s="324"/>
      <c r="K80" s="12"/>
    </row>
    <row r="81" spans="1:11" x14ac:dyDescent="0.25">
      <c r="A81" s="12"/>
      <c r="B81" s="323"/>
      <c r="D81" s="323" t="s">
        <v>476</v>
      </c>
      <c r="G81" s="28">
        <v>88154.6</v>
      </c>
      <c r="I81" s="28">
        <v>84857</v>
      </c>
      <c r="J81" s="324"/>
      <c r="K81" s="12"/>
    </row>
    <row r="82" spans="1:11" x14ac:dyDescent="0.25">
      <c r="A82" s="12"/>
      <c r="B82" s="323"/>
      <c r="D82" s="323" t="s">
        <v>478</v>
      </c>
      <c r="G82" s="28">
        <v>89026.16</v>
      </c>
      <c r="I82" s="28">
        <v>85060.64</v>
      </c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>
        <f>G80-G82</f>
        <v>-871.55999999999767</v>
      </c>
      <c r="H83" s="341"/>
      <c r="I83" s="291">
        <f>I80-I82</f>
        <v>-203.63999999999942</v>
      </c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80"/>
      <c r="H95" s="480"/>
      <c r="I95" s="481"/>
      <c r="J95" s="324"/>
      <c r="K95" s="12"/>
    </row>
    <row r="96" spans="1:11" ht="52.9" customHeight="1" x14ac:dyDescent="0.25">
      <c r="A96" s="12"/>
      <c r="B96" s="323"/>
      <c r="D96" s="323"/>
      <c r="G96" s="482"/>
      <c r="H96" s="482"/>
      <c r="I96" s="483"/>
      <c r="J96" s="324"/>
      <c r="K96" s="12"/>
    </row>
    <row r="97" spans="1:11" x14ac:dyDescent="0.25">
      <c r="A97" s="12"/>
      <c r="B97" s="323"/>
      <c r="D97" s="402" t="s">
        <v>243</v>
      </c>
      <c r="G97" s="484"/>
      <c r="H97" s="484"/>
      <c r="I97" s="485"/>
      <c r="J97" s="324"/>
      <c r="K97" s="12"/>
    </row>
    <row r="98" spans="1:11" x14ac:dyDescent="0.25">
      <c r="A98" s="12"/>
      <c r="B98" s="323"/>
      <c r="D98" s="323" t="s">
        <v>245</v>
      </c>
      <c r="G98" s="486" t="s">
        <v>593</v>
      </c>
      <c r="H98" s="486"/>
      <c r="I98" s="487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6" t="s">
        <v>595</v>
      </c>
      <c r="H99" s="486"/>
      <c r="I99" s="487"/>
      <c r="J99" s="324"/>
      <c r="K99" s="12"/>
    </row>
    <row r="100" spans="1:11" x14ac:dyDescent="0.25">
      <c r="A100" s="12"/>
      <c r="B100" s="323"/>
      <c r="D100" s="323" t="s">
        <v>249</v>
      </c>
      <c r="G100" s="486" t="s">
        <v>596</v>
      </c>
      <c r="H100" s="486"/>
      <c r="I100" s="487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8"/>
      <c r="H101" s="478"/>
      <c r="I101" s="479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3">
    <dataValidation allowBlank="1" showInputMessage="1" showErrorMessage="1" promptTitle="Investicijos pavadinimas" prompt="Investicijos pavadinimas" sqref="F19:F21 H19:H21"/>
    <dataValidation allowBlank="1" showInputMessage="1" showErrorMessage="1" promptTitle="Investicijos suma" prompt="Investicijos suma" sqref="G19:G22 I19:I22"/>
    <dataValidation allowBlank="1" showInputMessage="1" showErrorMessage="1" promptTitle="Pastaba" prompt="Įskaičiuojant visas avarijas susijusias su vandens ir nuotekų infrastruktūros, valyklų gedimais" sqref="D73 G73 I73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39997558519241921"/>
    <pageSetUpPr fitToPage="1"/>
  </sheetPr>
  <dimension ref="B1:O93"/>
  <sheetViews>
    <sheetView topLeftCell="A20" zoomScaleNormal="100" zoomScaleSheetLayoutView="100" workbookViewId="0">
      <selection activeCell="K14" sqref="K14:L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493" t="s">
        <v>378</v>
      </c>
      <c r="L3" s="494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499" t="s">
        <v>380</v>
      </c>
      <c r="D6" s="500"/>
      <c r="E6" s="500"/>
      <c r="F6" s="500"/>
      <c r="G6" s="500"/>
      <c r="H6" s="500"/>
      <c r="I6" s="500"/>
      <c r="J6" s="500"/>
      <c r="K6" s="500"/>
      <c r="L6" s="500"/>
      <c r="M6" s="501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495" t="s">
        <v>8</v>
      </c>
      <c r="D9" s="496"/>
      <c r="E9" s="497" t="str">
        <f>'Finansiniai duomenys'!C8</f>
        <v>UAB „Plungės šilumos tinklai“</v>
      </c>
      <c r="F9" s="497"/>
      <c r="G9" s="497"/>
      <c r="H9" s="497"/>
      <c r="I9" s="497"/>
      <c r="J9" s="497"/>
      <c r="K9" s="13"/>
      <c r="L9" s="13"/>
      <c r="M9" s="222"/>
    </row>
    <row r="10" spans="2:15" ht="15.75" thickBot="1" x14ac:dyDescent="0.3">
      <c r="B10" s="221"/>
      <c r="C10" s="495" t="s">
        <v>10</v>
      </c>
      <c r="D10" s="496"/>
      <c r="E10" s="498" t="str">
        <f>'Finansiniai duomenys'!C9</f>
        <v>Uždaroji akcinė bendrovė (UAB)</v>
      </c>
      <c r="F10" s="498"/>
      <c r="G10" s="498"/>
      <c r="H10" s="498"/>
      <c r="I10" s="498"/>
      <c r="J10" s="498"/>
      <c r="K10" s="13"/>
      <c r="L10" s="13"/>
      <c r="M10" s="222"/>
    </row>
    <row r="11" spans="2:15" ht="15.75" thickBot="1" x14ac:dyDescent="0.3">
      <c r="B11" s="221"/>
      <c r="C11" s="495" t="s">
        <v>14</v>
      </c>
      <c r="D11" s="496"/>
      <c r="E11" s="498">
        <f>'Finansiniai duomenys'!C10</f>
        <v>170535455</v>
      </c>
      <c r="F11" s="498"/>
      <c r="G11" s="498"/>
      <c r="H11" s="498"/>
      <c r="I11" s="498"/>
      <c r="J11" s="498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524" t="s">
        <v>489</v>
      </c>
      <c r="D14" s="533"/>
      <c r="E14" s="531" t="s">
        <v>218</v>
      </c>
      <c r="F14" s="534"/>
      <c r="G14" s="250"/>
      <c r="H14" s="253"/>
      <c r="I14" s="511" t="s">
        <v>490</v>
      </c>
      <c r="J14" s="530"/>
      <c r="K14" s="531" t="s">
        <v>218</v>
      </c>
      <c r="L14" s="532"/>
      <c r="M14" s="223"/>
    </row>
    <row r="15" spans="2:15" ht="26.45" customHeight="1" thickBot="1" x14ac:dyDescent="0.3">
      <c r="B15" s="221"/>
      <c r="C15" s="524" t="s">
        <v>494</v>
      </c>
      <c r="D15" s="512"/>
      <c r="E15" s="512"/>
      <c r="F15" s="527"/>
      <c r="G15" s="138"/>
      <c r="H15" s="253"/>
      <c r="I15" s="509" t="s">
        <v>493</v>
      </c>
      <c r="J15" s="506"/>
      <c r="K15" s="506"/>
      <c r="L15" s="510"/>
      <c r="M15" s="224"/>
    </row>
    <row r="16" spans="2:15" ht="49.5" customHeight="1" thickBot="1" x14ac:dyDescent="0.3">
      <c r="B16" s="221"/>
      <c r="C16" s="524" t="s">
        <v>495</v>
      </c>
      <c r="D16" s="512"/>
      <c r="E16" s="525"/>
      <c r="F16" s="526"/>
      <c r="G16" s="139"/>
      <c r="H16" s="254"/>
      <c r="I16" s="511" t="s">
        <v>491</v>
      </c>
      <c r="J16" s="511"/>
      <c r="K16" s="528"/>
      <c r="L16" s="529"/>
      <c r="M16" s="223"/>
    </row>
    <row r="17" spans="2:13" ht="40.5" customHeight="1" x14ac:dyDescent="0.25">
      <c r="B17" s="221"/>
      <c r="C17" s="524" t="s">
        <v>382</v>
      </c>
      <c r="D17" s="512"/>
      <c r="E17" s="507"/>
      <c r="F17" s="508"/>
      <c r="G17" s="250"/>
      <c r="H17" s="254"/>
      <c r="I17" s="512" t="s">
        <v>382</v>
      </c>
      <c r="J17" s="512"/>
      <c r="K17" s="507"/>
      <c r="L17" s="508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20" t="s">
        <v>496</v>
      </c>
      <c r="D20" s="516"/>
      <c r="E20" s="516"/>
      <c r="F20" s="521"/>
      <c r="G20" s="19"/>
      <c r="H20" s="253"/>
      <c r="I20" s="516" t="s">
        <v>586</v>
      </c>
      <c r="J20" s="516"/>
      <c r="K20" s="516"/>
      <c r="L20" s="516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22" t="s">
        <v>497</v>
      </c>
      <c r="D22" s="517"/>
      <c r="E22" s="517"/>
      <c r="F22" s="523"/>
      <c r="G22" s="251"/>
      <c r="H22" s="253"/>
      <c r="I22" s="517" t="s">
        <v>492</v>
      </c>
      <c r="J22" s="517"/>
      <c r="K22" s="517"/>
      <c r="L22" s="517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02" t="s">
        <v>236</v>
      </c>
      <c r="D85" s="502"/>
      <c r="E85" s="502"/>
      <c r="F85" s="502"/>
      <c r="G85" s="502"/>
      <c r="H85" s="502"/>
      <c r="I85" s="502"/>
      <c r="J85" s="502"/>
      <c r="K85" s="502"/>
      <c r="L85" s="502"/>
      <c r="M85" s="229"/>
    </row>
    <row r="86" spans="2:13" ht="66" customHeight="1" x14ac:dyDescent="0.25">
      <c r="B86" s="221"/>
      <c r="C86" s="505" t="s">
        <v>387</v>
      </c>
      <c r="D86" s="506"/>
      <c r="E86" s="506"/>
      <c r="F86" s="503"/>
      <c r="G86" s="503"/>
      <c r="H86" s="503"/>
      <c r="I86" s="503"/>
      <c r="J86" s="503"/>
      <c r="K86" s="503"/>
      <c r="L86" s="503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8" t="s">
        <v>243</v>
      </c>
      <c r="D88" s="519"/>
      <c r="E88" s="519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05" t="s">
        <v>245</v>
      </c>
      <c r="D89" s="506"/>
      <c r="E89" s="506"/>
      <c r="F89" s="504"/>
      <c r="G89" s="504"/>
      <c r="H89" s="504"/>
      <c r="I89" s="504"/>
      <c r="J89" s="504"/>
      <c r="K89" s="504"/>
      <c r="L89" s="504"/>
      <c r="M89" s="230"/>
    </row>
    <row r="90" spans="2:13" ht="15.75" customHeight="1" x14ac:dyDescent="0.25">
      <c r="B90" s="221"/>
      <c r="C90" s="505" t="s">
        <v>247</v>
      </c>
      <c r="D90" s="506"/>
      <c r="E90" s="506"/>
      <c r="F90" s="504"/>
      <c r="G90" s="504"/>
      <c r="H90" s="504"/>
      <c r="I90" s="504"/>
      <c r="J90" s="504"/>
      <c r="K90" s="504"/>
      <c r="L90" s="504"/>
      <c r="M90" s="230"/>
    </row>
    <row r="91" spans="2:13" ht="15.75" customHeight="1" x14ac:dyDescent="0.25">
      <c r="B91" s="221"/>
      <c r="C91" s="505" t="s">
        <v>249</v>
      </c>
      <c r="D91" s="506"/>
      <c r="E91" s="506"/>
      <c r="F91" s="504"/>
      <c r="G91" s="504"/>
      <c r="H91" s="504"/>
      <c r="I91" s="504"/>
      <c r="J91" s="504"/>
      <c r="K91" s="504"/>
      <c r="L91" s="504"/>
      <c r="M91" s="230"/>
    </row>
    <row r="92" spans="2:13" ht="21" customHeight="1" x14ac:dyDescent="0.25">
      <c r="B92" s="221"/>
      <c r="C92" s="513" t="s">
        <v>251</v>
      </c>
      <c r="D92" s="511"/>
      <c r="E92" s="511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14"/>
      <c r="D93" s="515"/>
      <c r="E93" s="515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2" tint="-0.249977111117893"/>
  </sheetPr>
  <dimension ref="A1:XFC1048563"/>
  <sheetViews>
    <sheetView showGridLines="0" topLeftCell="A28" zoomScaleNormal="100" workbookViewId="0">
      <selection activeCell="G15" sqref="G15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51" t="str">
        <f>'Finansiniai duomenys'!C8</f>
        <v>UAB „Plungės šilumos tinklai“</v>
      </c>
      <c r="I3" s="551"/>
      <c r="J3" s="551"/>
      <c r="K3" s="551"/>
      <c r="L3" s="551"/>
      <c r="N3" s="493" t="s">
        <v>378</v>
      </c>
      <c r="O3" s="493"/>
      <c r="P3" s="493"/>
      <c r="T3" s="12"/>
      <c r="U3" t="s">
        <v>218</v>
      </c>
    </row>
    <row r="4" spans="1:21" ht="13.9" customHeight="1" x14ac:dyDescent="0.25">
      <c r="A4" s="12"/>
      <c r="C4" s="535" t="s">
        <v>510</v>
      </c>
      <c r="D4" s="536"/>
      <c r="E4" s="536"/>
      <c r="F4" s="390"/>
      <c r="G4" s="369" t="s">
        <v>397</v>
      </c>
      <c r="H4" s="551" t="str">
        <f>IFERROR(VLOOKUP(H3,'Finansiniai duomenys'!R2:T236,3,FALSE),"")</f>
        <v>Uždaroji akcinė bendrovė (UAB)</v>
      </c>
      <c r="I4" s="551"/>
      <c r="J4" s="551"/>
      <c r="K4" s="551"/>
      <c r="L4" s="551"/>
      <c r="N4" s="493"/>
      <c r="O4" s="493"/>
      <c r="P4" s="493"/>
      <c r="T4" s="12"/>
    </row>
    <row r="5" spans="1:21" x14ac:dyDescent="0.25">
      <c r="A5" s="12"/>
      <c r="C5" s="535"/>
      <c r="D5" s="536"/>
      <c r="E5" s="536"/>
      <c r="F5" s="390"/>
      <c r="G5" s="370" t="s">
        <v>14</v>
      </c>
      <c r="H5" s="552">
        <f>IFERROR(VLOOKUP(H3,'Finansiniai duomenys'!R2:T236,2,FALSE),"")</f>
        <v>170535455</v>
      </c>
      <c r="I5" s="552"/>
      <c r="J5" s="552"/>
      <c r="K5" s="552"/>
      <c r="L5" s="552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37" t="s">
        <v>583</v>
      </c>
      <c r="D7" s="538"/>
      <c r="E7" s="538"/>
      <c r="F7" s="123"/>
      <c r="G7" s="553" t="s">
        <v>483</v>
      </c>
      <c r="H7" s="553"/>
      <c r="I7" s="553"/>
      <c r="J7" s="553"/>
      <c r="K7" s="553"/>
      <c r="L7" s="295"/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38"/>
      <c r="D8" s="538"/>
      <c r="E8" s="538"/>
      <c r="F8" s="123"/>
      <c r="G8" s="553" t="s">
        <v>484</v>
      </c>
      <c r="H8" s="553"/>
      <c r="I8" s="553"/>
      <c r="J8" s="553"/>
      <c r="K8" s="553"/>
      <c r="L8" s="295"/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38"/>
      <c r="D9" s="538"/>
      <c r="E9" s="538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38"/>
      <c r="D10" s="538"/>
      <c r="E10" s="538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4" t="s">
        <v>498</v>
      </c>
      <c r="D12" s="555"/>
      <c r="E12" s="555"/>
      <c r="F12" s="555"/>
      <c r="G12" s="550" t="s">
        <v>500</v>
      </c>
      <c r="H12" s="550"/>
      <c r="I12" s="550" t="s">
        <v>500</v>
      </c>
      <c r="J12" s="550"/>
      <c r="K12" s="550" t="s">
        <v>500</v>
      </c>
      <c r="L12" s="550"/>
      <c r="M12" s="550" t="s">
        <v>500</v>
      </c>
      <c r="N12" s="550"/>
      <c r="O12" s="550" t="s">
        <v>500</v>
      </c>
      <c r="P12" s="550"/>
      <c r="Q12" s="550" t="s">
        <v>500</v>
      </c>
      <c r="R12" s="550"/>
      <c r="T12" s="12"/>
    </row>
    <row r="13" spans="1:21" ht="67.900000000000006" customHeight="1" x14ac:dyDescent="0.25">
      <c r="A13" s="12"/>
      <c r="C13" s="556" t="s">
        <v>415</v>
      </c>
      <c r="D13" s="557" t="s">
        <v>416</v>
      </c>
      <c r="E13" s="558" t="s">
        <v>508</v>
      </c>
      <c r="F13" s="557" t="s">
        <v>417</v>
      </c>
      <c r="G13" s="541"/>
      <c r="H13" s="542"/>
      <c r="I13" s="541"/>
      <c r="J13" s="542"/>
      <c r="K13" s="541"/>
      <c r="L13" s="542"/>
      <c r="M13" s="541"/>
      <c r="N13" s="542"/>
      <c r="O13" s="541"/>
      <c r="P13" s="542"/>
      <c r="Q13" s="541"/>
      <c r="R13" s="542"/>
      <c r="T13" s="12"/>
    </row>
    <row r="14" spans="1:21" ht="39" customHeight="1" x14ac:dyDescent="0.25">
      <c r="A14" s="12"/>
      <c r="C14" s="556"/>
      <c r="D14" s="557"/>
      <c r="E14" s="559"/>
      <c r="F14" s="557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Klaida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54" t="s">
        <v>499</v>
      </c>
      <c r="D28" s="555"/>
      <c r="E28" s="555"/>
      <c r="F28" s="555"/>
      <c r="G28" s="550" t="s">
        <v>500</v>
      </c>
      <c r="H28" s="550"/>
      <c r="I28" s="550" t="s">
        <v>500</v>
      </c>
      <c r="J28" s="550"/>
      <c r="K28" s="550" t="s">
        <v>500</v>
      </c>
      <c r="L28" s="550"/>
      <c r="M28" s="550" t="s">
        <v>500</v>
      </c>
      <c r="N28" s="550"/>
      <c r="O28" s="550" t="s">
        <v>500</v>
      </c>
      <c r="P28" s="550"/>
      <c r="Q28" s="550" t="s">
        <v>500</v>
      </c>
      <c r="R28" s="550"/>
      <c r="T28" s="12"/>
    </row>
    <row r="29" spans="1:20" ht="62.45" customHeight="1" x14ac:dyDescent="0.25">
      <c r="A29" s="12"/>
      <c r="C29" s="556" t="s">
        <v>415</v>
      </c>
      <c r="D29" s="557" t="s">
        <v>416</v>
      </c>
      <c r="E29" s="558" t="s">
        <v>509</v>
      </c>
      <c r="F29" s="557" t="s">
        <v>417</v>
      </c>
      <c r="G29" s="541"/>
      <c r="H29" s="542"/>
      <c r="I29" s="541"/>
      <c r="J29" s="542"/>
      <c r="K29" s="541"/>
      <c r="L29" s="542"/>
      <c r="M29" s="541"/>
      <c r="N29" s="542"/>
      <c r="O29" s="541"/>
      <c r="P29" s="542"/>
      <c r="Q29" s="541"/>
      <c r="R29" s="542"/>
      <c r="T29" s="12"/>
    </row>
    <row r="30" spans="1:20" ht="52.15" customHeight="1" x14ac:dyDescent="0.25">
      <c r="A30" s="12"/>
      <c r="C30" s="556"/>
      <c r="D30" s="557"/>
      <c r="E30" s="559"/>
      <c r="F30" s="557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Klaida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4" t="s">
        <v>498</v>
      </c>
      <c r="D44" s="555"/>
      <c r="E44" s="555"/>
      <c r="F44" s="555"/>
      <c r="G44" s="550" t="s">
        <v>500</v>
      </c>
      <c r="H44" s="550"/>
      <c r="I44" s="550" t="s">
        <v>500</v>
      </c>
      <c r="J44" s="550"/>
      <c r="K44" s="550" t="s">
        <v>500</v>
      </c>
      <c r="L44" s="550"/>
      <c r="M44" s="550" t="s">
        <v>500</v>
      </c>
      <c r="N44" s="550"/>
      <c r="O44" s="550" t="s">
        <v>500</v>
      </c>
      <c r="P44" s="550"/>
      <c r="Q44" s="550" t="s">
        <v>500</v>
      </c>
      <c r="R44" s="550"/>
      <c r="T44" s="12"/>
    </row>
    <row r="45" spans="1:20" ht="62.45" customHeight="1" x14ac:dyDescent="0.25">
      <c r="A45" s="12"/>
      <c r="C45" s="556" t="s">
        <v>415</v>
      </c>
      <c r="D45" s="557" t="s">
        <v>416</v>
      </c>
      <c r="E45" s="558" t="s">
        <v>508</v>
      </c>
      <c r="F45" s="557" t="s">
        <v>417</v>
      </c>
      <c r="G45" s="541"/>
      <c r="H45" s="542"/>
      <c r="I45" s="541"/>
      <c r="J45" s="542"/>
      <c r="K45" s="541"/>
      <c r="L45" s="542"/>
      <c r="M45" s="541"/>
      <c r="N45" s="542"/>
      <c r="O45" s="541"/>
      <c r="P45" s="542"/>
      <c r="Q45" s="541"/>
      <c r="R45" s="542"/>
      <c r="T45" s="12"/>
    </row>
    <row r="46" spans="1:20" ht="59.45" customHeight="1" x14ac:dyDescent="0.25">
      <c r="A46" s="12"/>
      <c r="C46" s="556"/>
      <c r="D46" s="557"/>
      <c r="E46" s="559"/>
      <c r="F46" s="557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Klaida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4" t="s">
        <v>499</v>
      </c>
      <c r="D56" s="555"/>
      <c r="E56" s="555"/>
      <c r="F56" s="555"/>
      <c r="G56" s="550" t="s">
        <v>500</v>
      </c>
      <c r="H56" s="550"/>
      <c r="I56" s="550" t="s">
        <v>500</v>
      </c>
      <c r="J56" s="550"/>
      <c r="K56" s="550" t="s">
        <v>500</v>
      </c>
      <c r="L56" s="550"/>
      <c r="M56" s="550" t="s">
        <v>500</v>
      </c>
      <c r="N56" s="550"/>
      <c r="O56" s="550" t="s">
        <v>500</v>
      </c>
      <c r="P56" s="550"/>
      <c r="Q56" s="550" t="s">
        <v>500</v>
      </c>
      <c r="R56" s="550"/>
      <c r="T56" s="12"/>
    </row>
    <row r="57" spans="1:20" ht="70.150000000000006" customHeight="1" x14ac:dyDescent="0.25">
      <c r="A57" s="12"/>
      <c r="C57" s="556" t="s">
        <v>415</v>
      </c>
      <c r="D57" s="557" t="s">
        <v>416</v>
      </c>
      <c r="E57" s="558" t="s">
        <v>507</v>
      </c>
      <c r="F57" s="557" t="s">
        <v>417</v>
      </c>
      <c r="G57" s="541"/>
      <c r="H57" s="542"/>
      <c r="I57" s="541"/>
      <c r="J57" s="542"/>
      <c r="K57" s="541"/>
      <c r="L57" s="542"/>
      <c r="M57" s="541"/>
      <c r="N57" s="542"/>
      <c r="O57" s="541"/>
      <c r="P57" s="542"/>
      <c r="Q57" s="541"/>
      <c r="R57" s="542"/>
      <c r="T57" s="12"/>
    </row>
    <row r="58" spans="1:20" ht="55.9" customHeight="1" x14ac:dyDescent="0.25">
      <c r="A58" s="12"/>
      <c r="C58" s="556"/>
      <c r="D58" s="557"/>
      <c r="E58" s="559"/>
      <c r="F58" s="557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Klaida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43"/>
      <c r="I70" s="543"/>
      <c r="J70" s="544"/>
      <c r="T70" s="12"/>
    </row>
    <row r="71" spans="1:21" ht="51" customHeight="1" x14ac:dyDescent="0.25">
      <c r="A71" s="12"/>
      <c r="E71" s="387"/>
      <c r="H71" s="482"/>
      <c r="I71" s="482"/>
      <c r="J71" s="545"/>
      <c r="T71" s="12"/>
    </row>
    <row r="72" spans="1:21" x14ac:dyDescent="0.25">
      <c r="A72" s="12"/>
      <c r="E72" s="403" t="s">
        <v>243</v>
      </c>
      <c r="H72" s="546"/>
      <c r="I72" s="546"/>
      <c r="J72" s="547"/>
      <c r="T72" s="12"/>
    </row>
    <row r="73" spans="1:21" x14ac:dyDescent="0.25">
      <c r="A73" s="12"/>
      <c r="E73" s="387" t="s">
        <v>245</v>
      </c>
      <c r="H73" s="548"/>
      <c r="I73" s="548"/>
      <c r="J73" s="549"/>
      <c r="T73" s="12"/>
    </row>
    <row r="74" spans="1:21" x14ac:dyDescent="0.25">
      <c r="A74" s="12"/>
      <c r="E74" s="387" t="s">
        <v>247</v>
      </c>
      <c r="H74" s="548"/>
      <c r="I74" s="548"/>
      <c r="J74" s="549"/>
      <c r="T74" s="12"/>
    </row>
    <row r="75" spans="1:21" x14ac:dyDescent="0.25">
      <c r="A75" s="12"/>
      <c r="E75" s="387" t="s">
        <v>249</v>
      </c>
      <c r="H75" s="548"/>
      <c r="I75" s="548"/>
      <c r="J75" s="549"/>
      <c r="T75" s="12"/>
    </row>
    <row r="76" spans="1:21" x14ac:dyDescent="0.25">
      <c r="A76" s="12"/>
      <c r="E76" s="388" t="s">
        <v>399</v>
      </c>
      <c r="F76" s="389"/>
      <c r="G76" s="389"/>
      <c r="H76" s="539"/>
      <c r="I76" s="539"/>
      <c r="J76" s="540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C29:C30"/>
    <mergeCell ref="D29:D30"/>
    <mergeCell ref="F29:F30"/>
    <mergeCell ref="G29:H29"/>
    <mergeCell ref="E13:E14"/>
    <mergeCell ref="E29:E30"/>
    <mergeCell ref="G28:H28"/>
    <mergeCell ref="C28:F28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4" tint="0.59999389629810485"/>
  </sheetPr>
  <dimension ref="B1:O136"/>
  <sheetViews>
    <sheetView showGridLines="0" topLeftCell="A107" zoomScaleNormal="100" zoomScaleSheetLayoutView="100" zoomScalePageLayoutView="60" workbookViewId="0">
      <selection activeCell="E15" sqref="E15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1" t="s">
        <v>378</v>
      </c>
      <c r="E2" s="562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19" t="s">
        <v>389</v>
      </c>
      <c r="C4" s="420"/>
      <c r="D4" s="420"/>
      <c r="E4" s="421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22"/>
      <c r="D6" s="422"/>
      <c r="E6" s="423"/>
      <c r="M6" s="40"/>
      <c r="N6" s="40"/>
    </row>
    <row r="7" spans="2:15" x14ac:dyDescent="0.2">
      <c r="B7" s="147" t="s">
        <v>10</v>
      </c>
      <c r="C7" s="410" t="str">
        <f>IFERROR(VLOOKUP(C6,$K$2:$M$5,3,FALSE),"")</f>
        <v/>
      </c>
      <c r="D7" s="410"/>
      <c r="E7" s="411"/>
      <c r="M7" s="40"/>
      <c r="N7" s="40"/>
      <c r="O7" s="40"/>
    </row>
    <row r="8" spans="2:15" x14ac:dyDescent="0.2">
      <c r="B8" s="148" t="s">
        <v>14</v>
      </c>
      <c r="C8" s="410" t="str">
        <f>IFERROR(VLOOKUP(C6,$K$2:$L$5,2,FALSE),"")</f>
        <v/>
      </c>
      <c r="D8" s="410"/>
      <c r="E8" s="411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12"/>
      <c r="D10" s="412"/>
      <c r="E10" s="413"/>
    </row>
    <row r="11" spans="2:15" ht="12" customHeight="1" x14ac:dyDescent="0.2">
      <c r="B11" s="148" t="s">
        <v>30</v>
      </c>
      <c r="C11" s="414"/>
      <c r="D11" s="414"/>
      <c r="E11" s="415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16" t="s">
        <v>37</v>
      </c>
      <c r="D13" s="417"/>
      <c r="E13" s="418"/>
    </row>
    <row r="14" spans="2:15" ht="12" customHeight="1" x14ac:dyDescent="0.2">
      <c r="B14" s="148" t="s">
        <v>41</v>
      </c>
      <c r="C14" s="444" t="s">
        <v>359</v>
      </c>
      <c r="D14" s="444"/>
      <c r="E14" s="150" t="s">
        <v>43</v>
      </c>
    </row>
    <row r="15" spans="2:15" ht="12" customHeight="1" x14ac:dyDescent="0.2">
      <c r="B15" s="151" t="s">
        <v>47</v>
      </c>
      <c r="C15" s="445"/>
      <c r="D15" s="560"/>
      <c r="E15" s="152"/>
      <c r="M15" s="40"/>
      <c r="N15" s="40"/>
    </row>
    <row r="16" spans="2:15" ht="12" customHeight="1" x14ac:dyDescent="0.2">
      <c r="B16" s="151" t="s">
        <v>51</v>
      </c>
      <c r="C16" s="445"/>
      <c r="D16" s="560"/>
      <c r="E16" s="152"/>
      <c r="O16" s="40"/>
    </row>
    <row r="17" spans="2:15" ht="12" customHeight="1" x14ac:dyDescent="0.2">
      <c r="B17" s="151" t="s">
        <v>55</v>
      </c>
      <c r="C17" s="445"/>
      <c r="D17" s="560"/>
      <c r="E17" s="152"/>
      <c r="M17" s="40"/>
      <c r="N17" s="40"/>
    </row>
    <row r="18" spans="2:15" ht="12" customHeight="1" x14ac:dyDescent="0.2">
      <c r="B18" s="151" t="s">
        <v>58</v>
      </c>
      <c r="C18" s="445"/>
      <c r="D18" s="560"/>
      <c r="E18" s="152"/>
      <c r="M18" s="40"/>
      <c r="N18" s="40"/>
      <c r="O18" s="40"/>
    </row>
    <row r="19" spans="2:15" ht="12" customHeight="1" x14ac:dyDescent="0.2">
      <c r="B19" s="151" t="s">
        <v>61</v>
      </c>
      <c r="C19" s="445"/>
      <c r="D19" s="560"/>
      <c r="E19" s="152"/>
      <c r="M19" s="40"/>
      <c r="N19" s="40"/>
      <c r="O19" s="40"/>
    </row>
    <row r="20" spans="2:15" ht="12" customHeight="1" x14ac:dyDescent="0.2">
      <c r="B20" s="151" t="s">
        <v>75</v>
      </c>
      <c r="C20" s="448" t="s">
        <v>76</v>
      </c>
      <c r="D20" s="449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6" t="str">
        <f>IFERROR(VLOOKUP(C6,$K$2:$O$5,4,FALSE),"")</f>
        <v/>
      </c>
      <c r="D22" s="566"/>
      <c r="E22" s="567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2" t="s">
        <v>87</v>
      </c>
      <c r="D24" s="442"/>
      <c r="E24" s="443"/>
      <c r="O24" s="40"/>
    </row>
    <row r="25" spans="2:15" x14ac:dyDescent="0.2">
      <c r="B25" s="159"/>
      <c r="C25" s="434"/>
      <c r="D25" s="434"/>
      <c r="E25" s="435"/>
      <c r="M25" s="40"/>
      <c r="N25" s="40"/>
      <c r="O25" s="40"/>
    </row>
    <row r="26" spans="2:15" x14ac:dyDescent="0.2">
      <c r="B26" s="159"/>
      <c r="C26" s="436" t="s">
        <v>93</v>
      </c>
      <c r="D26" s="436"/>
      <c r="E26" s="437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2" t="s">
        <v>391</v>
      </c>
      <c r="D42" s="442"/>
      <c r="E42" s="443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3" t="s">
        <v>391</v>
      </c>
      <c r="D90" s="563"/>
      <c r="E90" s="564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42" t="s">
        <v>391</v>
      </c>
      <c r="D106" s="442"/>
      <c r="E106" s="443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32"/>
      <c r="D108" s="432"/>
      <c r="E108" s="433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5"/>
      <c r="D113" s="412"/>
      <c r="E113" s="413"/>
    </row>
    <row r="114" spans="2:5" x14ac:dyDescent="0.2">
      <c r="B114" s="159" t="s">
        <v>247</v>
      </c>
      <c r="C114" s="440"/>
      <c r="D114" s="440"/>
      <c r="E114" s="441"/>
    </row>
    <row r="115" spans="2:5" ht="24" x14ac:dyDescent="0.2">
      <c r="B115" s="208" t="s">
        <v>249</v>
      </c>
      <c r="C115" s="428"/>
      <c r="D115" s="428"/>
      <c r="E115" s="429"/>
    </row>
    <row r="116" spans="2:5" ht="24" x14ac:dyDescent="0.2">
      <c r="B116" s="209" t="s">
        <v>251</v>
      </c>
      <c r="C116" s="430"/>
      <c r="D116" s="430"/>
      <c r="E116" s="431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>
      <formula1>$K$2:$K$5</formula1>
    </dataValidation>
    <dataValidation allowBlank="1" showErrorMessage="1" prompt="Nurodykite įmonės teisinę formą (AB, UAB, VĮ), pasirinkdami iš sąrašo" sqref="C7:E7"/>
    <dataValidation type="whole" allowBlank="1" showErrorMessage="1" prompt="Nurodykite identifikacinį numerį (juridinio asmens kodą)" sqref="C8:E9">
      <formula1>0</formula1>
      <formula2>9999999999999990000</formula2>
    </dataValidation>
    <dataValidation allowBlank="1" showErrorMessage="1" sqref="B25:B26"/>
    <dataValidation allowBlank="1" showErrorMessage="1" prompt="Nurodykite įmonės direktoriaus (generalinio direktoriaus) vardą ir pavardę. VĮ miškų urėdijų prašome nurodyti miškų urėdo vardą ir pavardę. Pareigų nurodyti nereikia." sqref="C10:E10"/>
    <dataValidation allowBlank="1" showErrorMessage="1" prompt="Nurodykite įmonės vyr. finansininko (vyr. buhalterio) vardą ir pavardę. Pareigų nurodyti nereikia." sqref="C11:E11"/>
    <dataValidation allowBlank="1" showErrorMessage="1" prompt="Savivaldybei nuosavybės teise priklausančių akcijų valdytoja" sqref="C22:E22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f1908bf9-2dc4-4e3d-b4b9-4cf147fe6e6e"/>
    <ds:schemaRef ds:uri="http://purl.org/dc/terms/"/>
    <ds:schemaRef ds:uri="http://purl.org/dc/elements/1.1/"/>
    <ds:schemaRef ds:uri="http://schemas.microsoft.com/office/infopath/2007/PartnerControls"/>
    <ds:schemaRef ds:uri="9288e34c-c45f-4c56-ac4f-9af36a368a0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Personalas</cp:lastModifiedBy>
  <cp:revision/>
  <cp:lastPrinted>2023-04-26T07:08:03Z</cp:lastPrinted>
  <dcterms:created xsi:type="dcterms:W3CDTF">2014-03-24T16:58:47Z</dcterms:created>
  <dcterms:modified xsi:type="dcterms:W3CDTF">2024-02-02T07:53:07Z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